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31249_camosun_ca/Documents/Year 3 Capstone/ECET 290 Project/ASHES/273TechnicalComm/Assignments/Ass06ProjectWebPage/"/>
    </mc:Choice>
  </mc:AlternateContent>
  <xr:revisionPtr revIDLastSave="2155" documentId="8_{4F68EC03-3F4E-48D8-A368-DEAA28DEC698}" xr6:coauthVersionLast="47" xr6:coauthVersionMax="47" xr10:uidLastSave="{162BBEE3-3CB4-4A75-8322-805D3579E60F}"/>
  <bookViews>
    <workbookView xWindow="-108" yWindow="-108" windowWidth="23256" windowHeight="12456" xr2:uid="{34859F61-58D7-4367-8913-151579379E8C}"/>
  </bookViews>
  <sheets>
    <sheet name="PowerBudg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F25" i="4" s="1"/>
  <c r="J25" i="4" s="1"/>
  <c r="F7" i="4"/>
  <c r="F9" i="4"/>
  <c r="I9" i="4" s="1"/>
  <c r="J9" i="4" s="1"/>
  <c r="F8" i="4"/>
  <c r="I8" i="4" s="1"/>
  <c r="J8" i="4" s="1"/>
  <c r="F24" i="4"/>
  <c r="I24" i="4" s="1"/>
  <c r="F6" i="4"/>
  <c r="I6" i="4" s="1"/>
  <c r="I16" i="4" s="1"/>
  <c r="F10" i="4"/>
  <c r="I10" i="4" s="1"/>
  <c r="J10" i="4" s="1"/>
  <c r="F29" i="4"/>
  <c r="I29" i="4" s="1"/>
  <c r="J29" i="4" s="1"/>
  <c r="F30" i="4"/>
  <c r="I30" i="4" s="1"/>
  <c r="J30" i="4" s="1"/>
  <c r="F60" i="4"/>
  <c r="E58" i="4"/>
  <c r="F58" i="4" s="1"/>
  <c r="E59" i="4"/>
  <c r="F59" i="4" s="1"/>
  <c r="F57" i="4"/>
  <c r="F23" i="4"/>
  <c r="I23" i="4" s="1"/>
  <c r="F48" i="4"/>
  <c r="F56" i="4"/>
  <c r="F28" i="4"/>
  <c r="I28" i="4" s="1"/>
  <c r="J28" i="4" s="1"/>
  <c r="F26" i="4"/>
  <c r="I26" i="4" s="1"/>
  <c r="J26" i="4" s="1"/>
  <c r="F27" i="4"/>
  <c r="I27" i="4" s="1"/>
  <c r="J27" i="4" s="1"/>
  <c r="F22" i="4"/>
  <c r="J22" i="4" s="1"/>
  <c r="F5" i="4"/>
  <c r="I5" i="4" s="1"/>
  <c r="F55" i="4"/>
  <c r="F54" i="4"/>
  <c r="F53" i="4"/>
  <c r="F52" i="4"/>
  <c r="F51" i="4"/>
  <c r="F47" i="4"/>
  <c r="F46" i="4"/>
  <c r="F43" i="4"/>
  <c r="F42" i="4"/>
  <c r="I22" i="4" l="1"/>
  <c r="I7" i="4"/>
  <c r="I13" i="4" s="1"/>
  <c r="J24" i="4"/>
  <c r="I25" i="4"/>
  <c r="E11" i="4"/>
  <c r="F11" i="4" s="1"/>
  <c r="I11" i="4" s="1"/>
  <c r="J11" i="4" l="1"/>
  <c r="I33" i="4"/>
  <c r="I36" i="4" s="1"/>
  <c r="I32" i="4"/>
  <c r="K26" i="4" s="1"/>
  <c r="J7" i="4"/>
  <c r="K7" i="4"/>
  <c r="K27" i="4"/>
  <c r="K24" i="4"/>
  <c r="K28" i="4"/>
  <c r="K30" i="4"/>
  <c r="K29" i="4"/>
  <c r="K25" i="4" l="1"/>
  <c r="I14" i="4"/>
  <c r="I17" i="4" s="1"/>
  <c r="K11" i="4"/>
  <c r="K9" i="4"/>
  <c r="K10" i="4"/>
  <c r="K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tc={50A87E38-4887-43CB-9EE0-6CF0DEE5820F}</author>
    <author>tc={48469E63-E930-487F-8D27-4B9ADB20AC95}</author>
    <author>tc={4165157A-A4C4-4C95-84EB-909BA71E00F8}</author>
    <author>tc={A719A9C4-B4DB-4279-A8C6-2F5E9D3655FC}</author>
    <author>tc={16AFFDC6-B488-45BA-AC59-29DB8B2B2134}</author>
  </authors>
  <commentList>
    <comment ref="F7" authorId="0" shapeId="0" xr:uid="{50A87E38-4887-43CB-9EE0-6CF0DEE5820F}">
      <text>
        <t>[Threaded comment]
Your version of Excel allows you to read this threaded comment; however, any edits to it will get removed if the file is opened in a newer version of Excel. Learn more: https://go.microsoft.com/fwlink/?linkid=870924
Comment:
    I^2 * R using solar FET input R</t>
      </text>
    </comment>
    <comment ref="F24" authorId="1" shapeId="0" xr:uid="{48469E63-E930-487F-8D27-4B9ADB20AC95}">
      <text>
        <t>[Threaded comment]
Your version of Excel allows you to read this threaded comment; however, any edits to it will get removed if the file is opened in a newer version of Excel. Learn more: https://go.microsoft.com/fwlink/?linkid=870924
Comment:
    I^2 * R using solar FET input R</t>
      </text>
    </comment>
    <comment ref="F25" authorId="2" shapeId="0" xr:uid="{4165157A-A4C4-4C95-84EB-909BA71E00F8}">
      <text>
        <t>[Threaded comment]
Your version of Excel allows you to read this threaded comment; however, any edits to it will get removed if the file is opened in a newer version of Excel. Learn more: https://go.microsoft.com/fwlink/?linkid=870924
Comment:
    I^2 * R using battery FET R</t>
      </text>
    </comment>
    <comment ref="F61" authorId="3" shapeId="0" xr:uid="{A719A9C4-B4DB-4279-A8C6-2F5E9D3655FC}">
      <text>
        <t>[Threaded comment]
Your version of Excel allows you to read this threaded comment; however, any edits to it will get removed if the file is opened in a newer version of Excel. Learn more: https://go.microsoft.com/fwlink/?linkid=870924
Comment:
    I^2 * R using solar FET input R</t>
      </text>
    </comment>
    <comment ref="F62" authorId="4" shapeId="0" xr:uid="{16AFFDC6-B488-45BA-AC59-29DB8B2B2134}">
      <text>
        <t>[Threaded comment]
Your version of Excel allows you to read this threaded comment; however, any edits to it will get removed if the file is opened in a newer version of Excel. Learn more: https://go.microsoft.com/fwlink/?linkid=870924
Comment:
    I^2 * R using battery FET R</t>
      </text>
    </comment>
  </commentList>
</comments>
</file>

<file path=xl/sharedStrings.xml><?xml version="1.0" encoding="utf-8"?>
<sst xmlns="http://schemas.openxmlformats.org/spreadsheetml/2006/main" count="184" uniqueCount="68">
  <si>
    <t>Battery</t>
  </si>
  <si>
    <t>Description</t>
  </si>
  <si>
    <t>Sensor Node</t>
  </si>
  <si>
    <t>Control Node</t>
  </si>
  <si>
    <t>n/a</t>
  </si>
  <si>
    <t>DRV8838</t>
  </si>
  <si>
    <t>Reference</t>
  </si>
  <si>
    <t>Sources</t>
  </si>
  <si>
    <t>Voltage</t>
  </si>
  <si>
    <t>Current</t>
  </si>
  <si>
    <t>USB-C</t>
  </si>
  <si>
    <t>Storage</t>
  </si>
  <si>
    <t>LiFePo4 Battery</t>
  </si>
  <si>
    <t>Iniu B41</t>
  </si>
  <si>
    <t>Devices</t>
  </si>
  <si>
    <t>State</t>
  </si>
  <si>
    <t>LoRa Tx</t>
  </si>
  <si>
    <t>LoRa Rx</t>
  </si>
  <si>
    <t>Wi-Fi</t>
  </si>
  <si>
    <t>Sleep</t>
  </si>
  <si>
    <t>Capacity (Ah)</t>
  </si>
  <si>
    <t>Solar Panel</t>
  </si>
  <si>
    <t>Name</t>
  </si>
  <si>
    <t>Data sheet</t>
  </si>
  <si>
    <t>Label</t>
  </si>
  <si>
    <t>Emperical measurements</t>
  </si>
  <si>
    <t>The Noma Panel</t>
  </si>
  <si>
    <t>The hardware house connection</t>
  </si>
  <si>
    <t>The Noma Battery</t>
  </si>
  <si>
    <t>Kitty paw power bank</t>
  </si>
  <si>
    <t>Power</t>
  </si>
  <si>
    <t>Voltage [V]</t>
  </si>
  <si>
    <t>Current [A]</t>
  </si>
  <si>
    <t>Power [W]</t>
  </si>
  <si>
    <t>SEN0385</t>
  </si>
  <si>
    <t>LFP18500</t>
  </si>
  <si>
    <t>Purchased LiFePo4</t>
  </si>
  <si>
    <t>Measuring</t>
  </si>
  <si>
    <t>Idle (single shot mode)</t>
  </si>
  <si>
    <t>H-bridge</t>
  </si>
  <si>
    <t>Temp/Hum Sensor probe</t>
  </si>
  <si>
    <t>Operating</t>
  </si>
  <si>
    <t>LPLS</t>
  </si>
  <si>
    <t>Toggling</t>
  </si>
  <si>
    <t>Low Power Latching Solenoid</t>
  </si>
  <si>
    <t>BQ25185</t>
  </si>
  <si>
    <t>Solar</t>
  </si>
  <si>
    <t>Adafruit MPPT</t>
  </si>
  <si>
    <t>Whr = Time Active [hr] * Power [W]</t>
  </si>
  <si>
    <t>Whr per day</t>
  </si>
  <si>
    <t>Total Pwr Consumed [Whr]</t>
  </si>
  <si>
    <t>Adafruit MPPT battery FET losses</t>
  </si>
  <si>
    <t>Battery Supply [Wh]</t>
  </si>
  <si>
    <t>Solar Supply [Wh/day, 8 hrs sun]</t>
  </si>
  <si>
    <t>Daily Consumption [Wh]</t>
  </si>
  <si>
    <t>Battery life [days]</t>
  </si>
  <si>
    <t>Adafruit MPPT input FET losses</t>
  </si>
  <si>
    <t>Charging</t>
  </si>
  <si>
    <t>Supply [Wh/day]</t>
  </si>
  <si>
    <t>Inf</t>
  </si>
  <si>
    <t>Solar charging</t>
  </si>
  <si>
    <t>Full sun exposure</t>
  </si>
  <si>
    <t>Supplying</t>
  </si>
  <si>
    <t>Total draw %</t>
  </si>
  <si>
    <t>Transmitting over radio</t>
  </si>
  <si>
    <t>Receiving over radio</t>
  </si>
  <si>
    <t>Wireless internet communication</t>
  </si>
  <si>
    <t>Heltec ESP32 (V3)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</si>
</sst>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\ \V"/>
    <numFmt numFmtId="165" formatCode="0.00\ \A"/>
    <numFmt numFmtId="166" formatCode="0.00\ \W"/>
    <numFmt numFmtId="167" formatCode="0.000\ \A"/>
    <numFmt numFmtId="168" formatCode="0.0000\ \A"/>
    <numFmt numFmtId="169" formatCode="0.000000\ \A"/>
    <numFmt numFmtId="170" formatCode="0.000\ \W"/>
    <numFmt numFmtId="171" formatCode="0.0000\ \W"/>
    <numFmt numFmtId="172" formatCode="0.0000000\ \W"/>
    <numFmt numFmtId="173" formatCode="0.000000000\ \W"/>
    <numFmt numFmtId="174" formatCode="0.000000000\ \A"/>
    <numFmt numFmtId="176" formatCode="0.00000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16" xfId="0" applyBorder="1"/>
    <xf numFmtId="0" fontId="0" fillId="0" borderId="20" xfId="0" applyBorder="1"/>
    <xf numFmtId="11" fontId="0" fillId="0" borderId="22" xfId="0" applyNumberFormat="1" applyBorder="1"/>
    <xf numFmtId="2" fontId="0" fillId="0" borderId="22" xfId="0" applyNumberFormat="1" applyBorder="1"/>
    <xf numFmtId="10" fontId="0" fillId="0" borderId="0" xfId="0" applyNumberFormat="1"/>
    <xf numFmtId="2" fontId="0" fillId="0" borderId="2" xfId="0" applyNumberFormat="1" applyBorder="1"/>
    <xf numFmtId="0" fontId="0" fillId="0" borderId="2" xfId="0" applyBorder="1" applyAlignment="1">
      <alignment horizontal="right"/>
    </xf>
    <xf numFmtId="0" fontId="3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164" fontId="0" fillId="2" borderId="2" xfId="0" applyNumberFormat="1" applyFill="1" applyBorder="1" applyAlignment="1">
      <alignment horizontal="left" vertical="top"/>
    </xf>
    <xf numFmtId="167" fontId="0" fillId="2" borderId="2" xfId="0" applyNumberFormat="1" applyFill="1" applyBorder="1" applyAlignment="1">
      <alignment horizontal="left"/>
    </xf>
    <xf numFmtId="170" fontId="0" fillId="2" borderId="2" xfId="0" applyNumberFormat="1" applyFill="1" applyBorder="1" applyAlignment="1">
      <alignment horizontal="left"/>
    </xf>
    <xf numFmtId="0" fontId="1" fillId="2" borderId="5" xfId="0" applyFont="1" applyFill="1" applyBorder="1" applyAlignment="1">
      <alignment horizontal="left" vertical="top"/>
    </xf>
    <xf numFmtId="0" fontId="0" fillId="2" borderId="3" xfId="0" quotePrefix="1" applyFill="1" applyBorder="1" applyAlignment="1">
      <alignment horizontal="left" vertical="top" wrapText="1"/>
    </xf>
    <xf numFmtId="164" fontId="0" fillId="2" borderId="2" xfId="0" applyNumberFormat="1" applyFill="1" applyBorder="1" applyAlignment="1">
      <alignment horizontal="left" vertical="top" wrapText="1"/>
    </xf>
    <xf numFmtId="166" fontId="0" fillId="2" borderId="2" xfId="0" applyNumberFormat="1" applyFill="1" applyBorder="1" applyAlignment="1">
      <alignment horizontal="left"/>
    </xf>
    <xf numFmtId="0" fontId="0" fillId="2" borderId="8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2" xfId="0" quotePrefix="1" applyFill="1" applyBorder="1" applyAlignment="1">
      <alignment horizontal="left" vertical="top" wrapText="1"/>
    </xf>
    <xf numFmtId="0" fontId="0" fillId="2" borderId="2" xfId="0" quotePrefix="1" applyFill="1" applyBorder="1" applyAlignment="1">
      <alignment horizontal="left" vertical="top"/>
    </xf>
    <xf numFmtId="0" fontId="0" fillId="2" borderId="5" xfId="0" applyFill="1" applyBorder="1"/>
    <xf numFmtId="169" fontId="0" fillId="2" borderId="2" xfId="0" applyNumberFormat="1" applyFill="1" applyBorder="1" applyAlignment="1">
      <alignment horizontal="left"/>
    </xf>
    <xf numFmtId="172" fontId="0" fillId="2" borderId="2" xfId="0" applyNumberFormat="1" applyFill="1" applyBorder="1" applyAlignment="1">
      <alignment horizontal="left"/>
    </xf>
    <xf numFmtId="0" fontId="0" fillId="2" borderId="2" xfId="0" applyFill="1" applyBorder="1"/>
    <xf numFmtId="0" fontId="3" fillId="2" borderId="5" xfId="0" applyFont="1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4" xfId="0" applyFill="1" applyBorder="1"/>
    <xf numFmtId="0" fontId="0" fillId="2" borderId="13" xfId="0" applyFill="1" applyBorder="1"/>
    <xf numFmtId="0" fontId="0" fillId="2" borderId="24" xfId="0" applyFill="1" applyBorder="1" applyAlignment="1">
      <alignment horizontal="left" vertical="top"/>
    </xf>
    <xf numFmtId="164" fontId="0" fillId="2" borderId="3" xfId="0" applyNumberFormat="1" applyFill="1" applyBorder="1" applyAlignment="1">
      <alignment horizontal="left" vertical="top" wrapText="1"/>
    </xf>
    <xf numFmtId="165" fontId="0" fillId="2" borderId="3" xfId="0" applyNumberFormat="1" applyFill="1" applyBorder="1" applyAlignment="1">
      <alignment horizontal="left"/>
    </xf>
    <xf numFmtId="166" fontId="0" fillId="2" borderId="3" xfId="0" applyNumberFormat="1" applyFill="1" applyBorder="1" applyAlignment="1">
      <alignment horizontal="left"/>
    </xf>
    <xf numFmtId="0" fontId="0" fillId="2" borderId="25" xfId="0" applyFill="1" applyBorder="1" applyAlignment="1">
      <alignment horizontal="left" vertical="top"/>
    </xf>
    <xf numFmtId="165" fontId="0" fillId="2" borderId="2" xfId="0" applyNumberFormat="1" applyFill="1" applyBorder="1" applyAlignment="1">
      <alignment horizontal="left"/>
    </xf>
    <xf numFmtId="0" fontId="0" fillId="2" borderId="29" xfId="0" applyFill="1" applyBorder="1"/>
    <xf numFmtId="0" fontId="0" fillId="2" borderId="29" xfId="0" applyFill="1" applyBorder="1" applyAlignment="1">
      <alignment horizontal="left" vertical="top"/>
    </xf>
    <xf numFmtId="0" fontId="1" fillId="2" borderId="28" xfId="0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164" fontId="0" fillId="2" borderId="6" xfId="0" applyNumberFormat="1" applyFill="1" applyBorder="1" applyAlignment="1">
      <alignment horizontal="left" vertical="top"/>
    </xf>
    <xf numFmtId="168" fontId="0" fillId="2" borderId="6" xfId="0" applyNumberFormat="1" applyFill="1" applyBorder="1" applyAlignment="1">
      <alignment horizontal="left"/>
    </xf>
    <xf numFmtId="171" fontId="0" fillId="2" borderId="6" xfId="0" applyNumberFormat="1" applyFill="1" applyBorder="1" applyAlignment="1">
      <alignment horizontal="left"/>
    </xf>
    <xf numFmtId="0" fontId="1" fillId="2" borderId="27" xfId="0" applyFont="1" applyFill="1" applyBorder="1" applyAlignment="1">
      <alignment horizontal="left" vertical="top"/>
    </xf>
    <xf numFmtId="174" fontId="0" fillId="2" borderId="2" xfId="0" applyNumberFormat="1" applyFill="1" applyBorder="1" applyAlignment="1">
      <alignment horizontal="left"/>
    </xf>
    <xf numFmtId="173" fontId="0" fillId="2" borderId="2" xfId="0" applyNumberFormat="1" applyFill="1" applyBorder="1" applyAlignment="1">
      <alignment horizontal="left"/>
    </xf>
    <xf numFmtId="0" fontId="3" fillId="2" borderId="29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164" fontId="0" fillId="2" borderId="19" xfId="0" applyNumberFormat="1" applyFill="1" applyBorder="1" applyAlignment="1">
      <alignment horizontal="left" vertical="top"/>
    </xf>
    <xf numFmtId="167" fontId="0" fillId="2" borderId="19" xfId="0" applyNumberFormat="1" applyFill="1" applyBorder="1" applyAlignment="1">
      <alignment horizontal="left"/>
    </xf>
    <xf numFmtId="170" fontId="0" fillId="2" borderId="19" xfId="0" applyNumberFormat="1" applyFill="1" applyBorder="1" applyAlignment="1">
      <alignment horizontal="left"/>
    </xf>
    <xf numFmtId="0" fontId="3" fillId="2" borderId="19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169" fontId="0" fillId="2" borderId="19" xfId="0" applyNumberFormat="1" applyFill="1" applyBorder="1" applyAlignment="1">
      <alignment horizontal="left"/>
    </xf>
    <xf numFmtId="172" fontId="0" fillId="2" borderId="19" xfId="0" applyNumberFormat="1" applyFill="1" applyBorder="1" applyAlignment="1">
      <alignment horizontal="left"/>
    </xf>
    <xf numFmtId="0" fontId="3" fillId="2" borderId="30" xfId="0" applyFont="1" applyFill="1" applyBorder="1" applyAlignment="1">
      <alignment horizontal="left" vertical="top"/>
    </xf>
    <xf numFmtId="0" fontId="3" fillId="2" borderId="31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164" fontId="0" fillId="2" borderId="32" xfId="0" applyNumberFormat="1" applyFill="1" applyBorder="1" applyAlignment="1">
      <alignment horizontal="left" vertical="top"/>
    </xf>
    <xf numFmtId="167" fontId="0" fillId="2" borderId="32" xfId="0" applyNumberFormat="1" applyFill="1" applyBorder="1" applyAlignment="1">
      <alignment horizontal="left"/>
    </xf>
    <xf numFmtId="0" fontId="0" fillId="3" borderId="24" xfId="0" applyFill="1" applyBorder="1"/>
    <xf numFmtId="0" fontId="0" fillId="3" borderId="3" xfId="0" applyFill="1" applyBorder="1"/>
    <xf numFmtId="164" fontId="0" fillId="3" borderId="3" xfId="0" applyNumberFormat="1" applyFill="1" applyBorder="1" applyAlignment="1">
      <alignment horizontal="left"/>
    </xf>
    <xf numFmtId="165" fontId="0" fillId="3" borderId="3" xfId="0" applyNumberFormat="1" applyFill="1" applyBorder="1" applyAlignment="1">
      <alignment horizontal="left"/>
    </xf>
    <xf numFmtId="166" fontId="0" fillId="3" borderId="3" xfId="0" applyNumberFormat="1" applyFill="1" applyBorder="1" applyAlignment="1">
      <alignment horizontal="left"/>
    </xf>
    <xf numFmtId="0" fontId="0" fillId="3" borderId="8" xfId="0" applyFill="1" applyBorder="1"/>
    <xf numFmtId="0" fontId="0" fillId="3" borderId="26" xfId="0" applyFill="1" applyBorder="1"/>
    <xf numFmtId="164" fontId="0" fillId="3" borderId="6" xfId="0" applyNumberFormat="1" applyFill="1" applyBorder="1" applyAlignment="1">
      <alignment horizontal="left"/>
    </xf>
    <xf numFmtId="0" fontId="0" fillId="3" borderId="6" xfId="0" applyFill="1" applyBorder="1"/>
    <xf numFmtId="0" fontId="0" fillId="3" borderId="14" xfId="0" applyFill="1" applyBorder="1"/>
    <xf numFmtId="0" fontId="0" fillId="3" borderId="4" xfId="0" applyFill="1" applyBorder="1"/>
    <xf numFmtId="0" fontId="0" fillId="3" borderId="13" xfId="0" applyFill="1" applyBorder="1"/>
    <xf numFmtId="0" fontId="0" fillId="3" borderId="25" xfId="0" applyFill="1" applyBorder="1"/>
    <xf numFmtId="165" fontId="0" fillId="3" borderId="6" xfId="0" applyNumberFormat="1" applyFill="1" applyBorder="1" applyAlignment="1">
      <alignment horizontal="left"/>
    </xf>
    <xf numFmtId="0" fontId="0" fillId="3" borderId="27" xfId="0" applyFill="1" applyBorder="1"/>
    <xf numFmtId="0" fontId="0" fillId="4" borderId="28" xfId="0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left" vertical="top"/>
    </xf>
    <xf numFmtId="165" fontId="0" fillId="4" borderId="2" xfId="0" applyNumberFormat="1" applyFill="1" applyBorder="1" applyAlignment="1">
      <alignment horizontal="left" vertical="top"/>
    </xf>
    <xf numFmtId="166" fontId="0" fillId="4" borderId="2" xfId="0" applyNumberFormat="1" applyFill="1" applyBorder="1" applyAlignment="1">
      <alignment horizontal="left"/>
    </xf>
    <xf numFmtId="0" fontId="0" fillId="4" borderId="5" xfId="0" applyFill="1" applyBorder="1"/>
    <xf numFmtId="164" fontId="0" fillId="4" borderId="6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4" borderId="14" xfId="0" applyFill="1" applyBorder="1"/>
    <xf numFmtId="0" fontId="0" fillId="4" borderId="4" xfId="0" applyFill="1" applyBorder="1"/>
    <xf numFmtId="0" fontId="0" fillId="4" borderId="13" xfId="0" applyFill="1" applyBorder="1"/>
    <xf numFmtId="0" fontId="0" fillId="4" borderId="24" xfId="0" applyFill="1" applyBorder="1" applyAlignment="1">
      <alignment horizontal="left" vertical="top"/>
    </xf>
    <xf numFmtId="0" fontId="0" fillId="4" borderId="3" xfId="0" applyFill="1" applyBorder="1"/>
    <xf numFmtId="164" fontId="0" fillId="4" borderId="2" xfId="0" quotePrefix="1" applyNumberFormat="1" applyFill="1" applyBorder="1" applyAlignment="1">
      <alignment horizontal="left" vertical="top" wrapText="1"/>
    </xf>
    <xf numFmtId="0" fontId="0" fillId="4" borderId="25" xfId="0" applyFill="1" applyBorder="1"/>
    <xf numFmtId="0" fontId="0" fillId="4" borderId="26" xfId="0" applyFill="1" applyBorder="1"/>
    <xf numFmtId="0" fontId="0" fillId="4" borderId="6" xfId="0" applyFill="1" applyBorder="1"/>
    <xf numFmtId="0" fontId="0" fillId="4" borderId="27" xfId="0" applyFill="1" applyBorder="1"/>
    <xf numFmtId="166" fontId="0" fillId="4" borderId="6" xfId="0" applyNumberForma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9" xfId="0" applyBorder="1"/>
    <xf numFmtId="0" fontId="0" fillId="0" borderId="15" xfId="0" applyBorder="1"/>
    <xf numFmtId="0" fontId="0" fillId="3" borderId="33" xfId="0" applyFill="1" applyBorder="1"/>
    <xf numFmtId="0" fontId="0" fillId="3" borderId="34" xfId="0" quotePrefix="1" applyFill="1" applyBorder="1"/>
    <xf numFmtId="164" fontId="0" fillId="3" borderId="34" xfId="0" applyNumberFormat="1" applyFill="1" applyBorder="1" applyAlignment="1">
      <alignment horizontal="left"/>
    </xf>
    <xf numFmtId="167" fontId="0" fillId="3" borderId="34" xfId="0" applyNumberFormat="1" applyFill="1" applyBorder="1" applyAlignment="1">
      <alignment horizontal="left"/>
    </xf>
    <xf numFmtId="166" fontId="0" fillId="3" borderId="34" xfId="0" applyNumberFormat="1" applyFill="1" applyBorder="1" applyAlignment="1">
      <alignment horizontal="left"/>
    </xf>
    <xf numFmtId="0" fontId="0" fillId="3" borderId="34" xfId="0" applyFill="1" applyBorder="1"/>
    <xf numFmtId="0" fontId="0" fillId="3" borderId="35" xfId="0" applyFill="1" applyBorder="1"/>
    <xf numFmtId="2" fontId="0" fillId="3" borderId="36" xfId="0" applyNumberFormat="1" applyFill="1" applyBorder="1" applyAlignment="1">
      <alignment horizontal="right"/>
    </xf>
    <xf numFmtId="2" fontId="0" fillId="4" borderId="37" xfId="0" applyNumberFormat="1" applyFill="1" applyBorder="1"/>
    <xf numFmtId="11" fontId="0" fillId="2" borderId="37" xfId="0" applyNumberFormat="1" applyFill="1" applyBorder="1"/>
    <xf numFmtId="11" fontId="0" fillId="2" borderId="38" xfId="0" applyNumberFormat="1" applyFill="1" applyBorder="1"/>
    <xf numFmtId="10" fontId="0" fillId="3" borderId="39" xfId="0" applyNumberFormat="1" applyFill="1" applyBorder="1" applyAlignment="1">
      <alignment horizontal="center"/>
    </xf>
    <xf numFmtId="10" fontId="0" fillId="4" borderId="40" xfId="0" applyNumberFormat="1" applyFill="1" applyBorder="1" applyAlignment="1">
      <alignment horizontal="center"/>
    </xf>
    <xf numFmtId="10" fontId="0" fillId="2" borderId="40" xfId="0" applyNumberFormat="1" applyFill="1" applyBorder="1"/>
    <xf numFmtId="176" fontId="0" fillId="2" borderId="40" xfId="0" applyNumberFormat="1" applyFill="1" applyBorder="1"/>
    <xf numFmtId="176" fontId="0" fillId="2" borderId="41" xfId="0" applyNumberFormat="1" applyFill="1" applyBorder="1"/>
    <xf numFmtId="2" fontId="0" fillId="3" borderId="36" xfId="0" applyNumberFormat="1" applyFill="1" applyBorder="1"/>
    <xf numFmtId="10" fontId="0" fillId="2" borderId="4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Control Node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018591426071732E-2"/>
          <c:y val="0.17745426932720476"/>
          <c:w val="0.35640726159230096"/>
          <c:h val="0.59775679884373345"/>
        </c:manualLayout>
      </c:layout>
      <c:doughnut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3BF-42D4-A065-3CE6D40C9ABE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BF-42D4-A065-3CE6D40C9AB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3BF-42D4-A065-3CE6D40C9AB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BF-42D4-A065-3CE6D40C9A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3BF-42D4-A065-3CE6D40C9ABE}"/>
              </c:ext>
            </c:extLst>
          </c:dPt>
          <c:dLbls>
            <c:dLbl>
              <c:idx val="1"/>
              <c:layout>
                <c:manualLayout>
                  <c:x val="8.0555555555555561E-2"/>
                  <c:y val="-5.6460002311748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BF-42D4-A065-3CE6D40C9ABE}"/>
                </c:ext>
              </c:extLst>
            </c:dLbl>
            <c:dLbl>
              <c:idx val="4"/>
              <c:layout>
                <c:manualLayout>
                  <c:x val="-8.3333333333333332E-3"/>
                  <c:y val="-0.1223300050087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BF-42D4-A065-3CE6D40C9A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PowerBudget!$B$7:$C$11</c:f>
              <c:multiLvlStrCache>
                <c:ptCount val="5"/>
                <c:lvl>
                  <c:pt idx="0">
                    <c:v>Charging</c:v>
                  </c:pt>
                  <c:pt idx="1">
                    <c:v>LoRa Tx</c:v>
                  </c:pt>
                  <c:pt idx="2">
                    <c:v>LoRa Rx</c:v>
                  </c:pt>
                  <c:pt idx="3">
                    <c:v>Wi-Fi</c:v>
                  </c:pt>
                  <c:pt idx="4">
                    <c:v>Toggling</c:v>
                  </c:pt>
                </c:lvl>
                <c:lvl>
                  <c:pt idx="0">
                    <c:v>BQ25185</c:v>
                  </c:pt>
                  <c:pt idx="1">
                    <c:v>Heltec ESP32 (V3)</c:v>
                  </c:pt>
                  <c:pt idx="2">
                    <c:v>Heltec ESP32 (V3)</c:v>
                  </c:pt>
                  <c:pt idx="3">
                    <c:v>Heltec ESP32 (V3)</c:v>
                  </c:pt>
                  <c:pt idx="4">
                    <c:v>LPLS</c:v>
                  </c:pt>
                </c:lvl>
              </c:multiLvlStrCache>
            </c:multiLvlStrRef>
          </c:cat>
          <c:val>
            <c:numRef>
              <c:f>PowerBudget!$K$7:$K$11</c:f>
              <c:numCache>
                <c:formatCode>0.00%</c:formatCode>
                <c:ptCount val="5"/>
                <c:pt idx="0">
                  <c:v>8.8301243026409321E-2</c:v>
                </c:pt>
                <c:pt idx="1">
                  <c:v>5.6414683044650406E-4</c:v>
                </c:pt>
                <c:pt idx="2">
                  <c:v>0.39735559361884187</c:v>
                </c:pt>
                <c:pt idx="3">
                  <c:v>0.50773214740185368</c:v>
                </c:pt>
                <c:pt idx="4">
                  <c:v>6.0468691224485104E-3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F-42D4-A065-3CE6D40C9A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607436570428698"/>
          <c:y val="0.23944732512477004"/>
          <c:w val="0.45229549431321098"/>
          <c:h val="0.42511798357675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979440069991249E-2"/>
          <c:y val="0.18115230472987695"/>
          <c:w val="0.38526334208223967"/>
          <c:h val="0.64274451892063877"/>
        </c:manualLayout>
      </c:layout>
      <c:doughnutChart>
        <c:varyColors val="1"/>
        <c:ser>
          <c:idx val="0"/>
          <c:order val="0"/>
          <c:tx>
            <c:v>Sensor Node</c:v>
          </c:tx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DD-4393-8F38-99737D62F4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DD-4393-8F38-99737D62F4F4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DD-4393-8F38-99737D62F4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DD-4393-8F38-99737D62F4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5DD-4393-8F38-99737D62F4F4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DD-4393-8F38-99737D62F4F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DD-4393-8F38-99737D62F4F4}"/>
              </c:ext>
            </c:extLst>
          </c:dPt>
          <c:dLbls>
            <c:dLbl>
              <c:idx val="4"/>
              <c:layout>
                <c:manualLayout>
                  <c:x val="2.7777777777777779E-3"/>
                  <c:y val="0.11251193224478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DD-4393-8F38-99737D62F4F4}"/>
                </c:ext>
              </c:extLst>
            </c:dLbl>
            <c:dLbl>
              <c:idx val="5"/>
              <c:layout>
                <c:manualLayout>
                  <c:x val="6.9444444444444392E-2"/>
                  <c:y val="-7.96959520067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DD-4393-8F38-99737D62F4F4}"/>
                </c:ext>
              </c:extLst>
            </c:dLbl>
            <c:dLbl>
              <c:idx val="6"/>
              <c:layout>
                <c:manualLayout>
                  <c:x val="-8.611111111111111E-2"/>
                  <c:y val="-0.10313593789105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DD-4393-8F38-99737D62F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PowerBudget!$B$24:$C$30</c:f>
              <c:multiLvlStrCache>
                <c:ptCount val="7"/>
                <c:lvl>
                  <c:pt idx="0">
                    <c:v>Solar charging</c:v>
                  </c:pt>
                  <c:pt idx="1">
                    <c:v>Charging</c:v>
                  </c:pt>
                  <c:pt idx="2">
                    <c:v>LoRa Tx</c:v>
                  </c:pt>
                  <c:pt idx="3">
                    <c:v>LoRa Rx</c:v>
                  </c:pt>
                  <c:pt idx="4">
                    <c:v>Sleep</c:v>
                  </c:pt>
                  <c:pt idx="5">
                    <c:v>Measuring</c:v>
                  </c:pt>
                  <c:pt idx="6">
                    <c:v>Idle (single shot mode)</c:v>
                  </c:pt>
                </c:lvl>
                <c:lvl>
                  <c:pt idx="0">
                    <c:v>BQ25185</c:v>
                  </c:pt>
                  <c:pt idx="1">
                    <c:v>BQ25185</c:v>
                  </c:pt>
                  <c:pt idx="2">
                    <c:v>Heltec ESP32 (V3)</c:v>
                  </c:pt>
                  <c:pt idx="3">
                    <c:v>Heltec ESP32 (V3)</c:v>
                  </c:pt>
                  <c:pt idx="4">
                    <c:v>Heltec ESP32 (V3)</c:v>
                  </c:pt>
                  <c:pt idx="5">
                    <c:v>SEN0385</c:v>
                  </c:pt>
                  <c:pt idx="6">
                    <c:v>SEN0385</c:v>
                  </c:pt>
                </c:lvl>
              </c:multiLvlStrCache>
            </c:multiLvlStrRef>
          </c:cat>
          <c:val>
            <c:numRef>
              <c:f>PowerBudget!$K$24:$K$30</c:f>
              <c:numCache>
                <c:formatCode>0.00%</c:formatCode>
                <c:ptCount val="7"/>
                <c:pt idx="0">
                  <c:v>0.2255710497968883</c:v>
                </c:pt>
                <c:pt idx="1">
                  <c:v>0.41764479869893867</c:v>
                </c:pt>
                <c:pt idx="2">
                  <c:v>7.2057418685117086E-2</c:v>
                </c:pt>
                <c:pt idx="3">
                  <c:v>0.28196381224611033</c:v>
                </c:pt>
                <c:pt idx="4">
                  <c:v>2.7604257218894197E-3</c:v>
                </c:pt>
                <c:pt idx="5" formatCode="0.000000%">
                  <c:v>1.3569508464344058E-8</c:v>
                </c:pt>
                <c:pt idx="6" formatCode="0.000000%">
                  <c:v>2.4812815477657711E-6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DD-4393-8F38-99737D62F4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142454068241473"/>
          <c:y val="0.21217760583665665"/>
          <c:w val="0.44048425196850394"/>
          <c:h val="0.60245293421974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391888</xdr:colOff>
      <xdr:row>1</xdr:row>
      <xdr:rowOff>189481</xdr:rowOff>
    </xdr:from>
    <xdr:to>
      <xdr:col>19</xdr:col>
      <xdr:colOff>87088</xdr:colOff>
      <xdr:row>16</xdr:row>
      <xdr:rowOff>92783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8C24D18-16EE-8E86-F27C-F794004F5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373084</xdr:colOff>
      <xdr:row>19</xdr:row>
      <xdr:rowOff>24912</xdr:rowOff>
    </xdr:from>
    <xdr:to>
      <xdr:col>19</xdr:col>
      <xdr:colOff>68284</xdr:colOff>
      <xdr:row>33</xdr:row>
      <xdr:rowOff>130096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3138BFA-AAD9-4B78-89F8-73A2F6A69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ait Russell" id="{2AFD5708-C4BE-4619-B361-B74100A55A0E}" userId="S::C0531249@camosun.ca::4d97d4e7-d27b-4244-8141-5267402807d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5-10-09T20:58:25.35" personId="{2AFD5708-C4BE-4619-B361-B74100A55A0E}" id="{50A87E38-4887-43CB-9EE0-6CF0DEE5820F}">
    <text>I^2 * R using solar FET input R</text>
  </threadedComment>
  <threadedComment ref="F24" dT="2025-10-09T20:58:25.35" personId="{2AFD5708-C4BE-4619-B361-B74100A55A0E}" id="{48469E63-E930-487F-8D27-4B9ADB20AC95}">
    <text>I^2 * R using solar FET input R</text>
  </threadedComment>
  <threadedComment ref="F25" dT="2025-10-09T20:59:13.39" personId="{2AFD5708-C4BE-4619-B361-B74100A55A0E}" id="{4165157A-A4C4-4C95-84EB-909BA71E00F8}">
    <text>I^2 * R using battery FET R</text>
  </threadedComment>
  <threadedComment ref="F61" dT="2025-10-09T20:58:25.35" personId="{2AFD5708-C4BE-4619-B361-B74100A55A0E}" id="{A719A9C4-B4DB-4279-A8C6-2F5E9D3655FC}">
    <text>I^2 * R using solar FET input R</text>
  </threadedComment>
  <threadedComment ref="F62" dT="2025-10-09T20:59:13.39" personId="{2AFD5708-C4BE-4619-B361-B74100A55A0E}" id="{16AFFDC6-B488-45BA-AC59-29DB8B2B2134}">
    <text>I^2 * R using battery FET 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B722-F383-4ADD-821D-D6BE3FCCD730}">
  <dimension ref="B2:K62"/>
  <sheetViews>
    <sheetView tabSelected="1" zoomScale="70" zoomScaleNormal="70" workbookViewId="0">
      <selection activeCell="A9" sqref="A9"/>
    </sheetView>
  </sheetViews>
  <sheetFormatPr defaultRowHeight="14.4" x14ac:dyDescent="0.3"/>
  <cols>
    <col min="1" max="1" width="32.44140625" customWidth="1"/>
    <col min="2" max="2" width="15.44140625" bestFit="1" customWidth="1"/>
    <col min="3" max="3" width="20.21875" bestFit="1" customWidth="1"/>
    <col min="4" max="4" width="9.88671875" bestFit="1" customWidth="1"/>
    <col min="5" max="5" width="14.109375" bestFit="1" customWidth="1"/>
    <col min="6" max="6" width="14.88671875" bestFit="1" customWidth="1"/>
    <col min="7" max="7" width="23.109375" bestFit="1" customWidth="1"/>
    <col min="8" max="8" width="28.5546875" bestFit="1" customWidth="1"/>
    <col min="9" max="9" width="29.88671875" bestFit="1" customWidth="1"/>
    <col min="10" max="10" width="10.77734375" bestFit="1" customWidth="1"/>
    <col min="11" max="11" width="11.33203125" bestFit="1" customWidth="1"/>
  </cols>
  <sheetData>
    <row r="2" spans="2:11" ht="15" thickBot="1" x14ac:dyDescent="0.35"/>
    <row r="3" spans="2:11" ht="15" thickBot="1" x14ac:dyDescent="0.35">
      <c r="B3" s="103" t="s">
        <v>3</v>
      </c>
      <c r="C3" s="104"/>
      <c r="D3" s="104"/>
      <c r="E3" s="104"/>
      <c r="F3" s="104"/>
      <c r="G3" s="104"/>
      <c r="H3" s="104"/>
      <c r="I3" s="104"/>
      <c r="J3" s="104"/>
      <c r="K3" s="105"/>
    </row>
    <row r="4" spans="2:11" ht="15" thickBot="1" x14ac:dyDescent="0.35">
      <c r="B4" s="1" t="s">
        <v>22</v>
      </c>
      <c r="C4" s="1" t="s">
        <v>15</v>
      </c>
      <c r="D4" s="1" t="s">
        <v>31</v>
      </c>
      <c r="E4" s="1" t="s">
        <v>32</v>
      </c>
      <c r="F4" s="1" t="s">
        <v>33</v>
      </c>
      <c r="G4" s="1" t="s">
        <v>6</v>
      </c>
      <c r="H4" s="1" t="s">
        <v>1</v>
      </c>
      <c r="I4" s="1" t="s">
        <v>48</v>
      </c>
      <c r="J4" s="3" t="s">
        <v>49</v>
      </c>
      <c r="K4" s="4" t="s">
        <v>63</v>
      </c>
    </row>
    <row r="5" spans="2:11" ht="14.4" customHeight="1" x14ac:dyDescent="0.3">
      <c r="B5" s="66" t="s">
        <v>10</v>
      </c>
      <c r="C5" s="67" t="s">
        <v>62</v>
      </c>
      <c r="D5" s="68">
        <v>5</v>
      </c>
      <c r="E5" s="69">
        <v>2.1</v>
      </c>
      <c r="F5" s="70">
        <f t="shared" ref="F5" si="0">D5*E5</f>
        <v>10.5</v>
      </c>
      <c r="G5" s="67" t="s">
        <v>24</v>
      </c>
      <c r="H5" s="71" t="s">
        <v>27</v>
      </c>
      <c r="I5" s="121">
        <f>1*F5</f>
        <v>10.5</v>
      </c>
      <c r="J5" s="121" t="s">
        <v>59</v>
      </c>
      <c r="K5" s="125" t="s">
        <v>4</v>
      </c>
    </row>
    <row r="6" spans="2:11" x14ac:dyDescent="0.3">
      <c r="B6" s="81" t="s">
        <v>13</v>
      </c>
      <c r="C6" s="82" t="s">
        <v>62</v>
      </c>
      <c r="D6" s="83">
        <v>3.7</v>
      </c>
      <c r="E6" s="84">
        <v>10</v>
      </c>
      <c r="F6" s="85">
        <f>D6*E6</f>
        <v>37</v>
      </c>
      <c r="G6" s="82" t="s">
        <v>24</v>
      </c>
      <c r="H6" s="86" t="s">
        <v>29</v>
      </c>
      <c r="I6" s="122">
        <f>1*F6</f>
        <v>37</v>
      </c>
      <c r="J6" s="122">
        <v>37</v>
      </c>
      <c r="K6" s="126" t="s">
        <v>4</v>
      </c>
    </row>
    <row r="7" spans="2:11" ht="14.4" customHeight="1" x14ac:dyDescent="0.3">
      <c r="B7" s="58" t="s">
        <v>45</v>
      </c>
      <c r="C7" s="12" t="s">
        <v>57</v>
      </c>
      <c r="D7" s="13">
        <v>5</v>
      </c>
      <c r="E7" s="14">
        <v>0.5</v>
      </c>
      <c r="F7" s="15">
        <f>(E7^2)*0.4</f>
        <v>0.1</v>
      </c>
      <c r="G7" s="11" t="s">
        <v>23</v>
      </c>
      <c r="H7" s="16" t="s">
        <v>56</v>
      </c>
      <c r="I7" s="123">
        <f>1*F7</f>
        <v>0.1</v>
      </c>
      <c r="J7" s="123">
        <f>I7*24</f>
        <v>2.4000000000000004</v>
      </c>
      <c r="K7" s="127">
        <f>I7/$I$13</f>
        <v>8.8301243026409321E-2</v>
      </c>
    </row>
    <row r="8" spans="2:11" ht="14.4" customHeight="1" x14ac:dyDescent="0.3">
      <c r="B8" s="32" t="s">
        <v>67</v>
      </c>
      <c r="C8" s="17" t="s">
        <v>16</v>
      </c>
      <c r="D8" s="18">
        <v>5</v>
      </c>
      <c r="E8" s="14">
        <v>0.23</v>
      </c>
      <c r="F8" s="19">
        <f>D8*E8</f>
        <v>1.1500000000000001</v>
      </c>
      <c r="G8" s="17" t="s">
        <v>23</v>
      </c>
      <c r="H8" s="20" t="s">
        <v>64</v>
      </c>
      <c r="I8" s="123">
        <f>(2/3600)*F8</f>
        <v>6.3888888888888893E-4</v>
      </c>
      <c r="J8" s="123">
        <f t="shared" ref="J8:J9" si="1">I8*24</f>
        <v>1.5333333333333334E-2</v>
      </c>
      <c r="K8" s="127">
        <f>I8/$I$13</f>
        <v>5.6414683044650406E-4</v>
      </c>
    </row>
    <row r="9" spans="2:11" x14ac:dyDescent="0.3">
      <c r="B9" s="32" t="s">
        <v>67</v>
      </c>
      <c r="C9" s="22" t="s">
        <v>17</v>
      </c>
      <c r="D9" s="13">
        <v>5</v>
      </c>
      <c r="E9" s="14">
        <v>0.09</v>
      </c>
      <c r="F9" s="19">
        <f>D9*E9</f>
        <v>0.44999999999999996</v>
      </c>
      <c r="G9" s="23" t="s">
        <v>23</v>
      </c>
      <c r="H9" s="24" t="s">
        <v>65</v>
      </c>
      <c r="I9" s="123">
        <f>(3600/3600)*F9</f>
        <v>0.44999999999999996</v>
      </c>
      <c r="J9" s="123">
        <f t="shared" si="1"/>
        <v>10.799999999999999</v>
      </c>
      <c r="K9" s="127">
        <f>I9/$I$13</f>
        <v>0.39735559361884187</v>
      </c>
    </row>
    <row r="10" spans="2:11" x14ac:dyDescent="0.3">
      <c r="B10" s="32" t="s">
        <v>67</v>
      </c>
      <c r="C10" s="11" t="s">
        <v>18</v>
      </c>
      <c r="D10" s="13">
        <v>5</v>
      </c>
      <c r="E10" s="14">
        <v>0.115</v>
      </c>
      <c r="F10" s="15">
        <f>D10*E10</f>
        <v>0.57500000000000007</v>
      </c>
      <c r="G10" s="23" t="s">
        <v>23</v>
      </c>
      <c r="H10" s="24" t="s">
        <v>66</v>
      </c>
      <c r="I10" s="123">
        <f>(3600/3600)*F10</f>
        <v>0.57500000000000007</v>
      </c>
      <c r="J10" s="123">
        <f>I10*24</f>
        <v>13.8</v>
      </c>
      <c r="K10" s="127">
        <f>I10/$I$13</f>
        <v>0.50773214740185368</v>
      </c>
    </row>
    <row r="11" spans="2:11" ht="15" thickBot="1" x14ac:dyDescent="0.35">
      <c r="B11" s="62" t="s">
        <v>42</v>
      </c>
      <c r="C11" s="63" t="s">
        <v>43</v>
      </c>
      <c r="D11" s="64">
        <v>3.2</v>
      </c>
      <c r="E11" s="65">
        <f>0.192+E58</f>
        <v>0.19259999999999999</v>
      </c>
      <c r="F11" s="55">
        <f>D11*E11</f>
        <v>0.61631999999999998</v>
      </c>
      <c r="G11" s="56" t="s">
        <v>25</v>
      </c>
      <c r="H11" s="61" t="s">
        <v>44</v>
      </c>
      <c r="I11" s="124">
        <f>(40/3600)*F11</f>
        <v>6.8479999999999999E-3</v>
      </c>
      <c r="J11" s="124">
        <f>I11*24</f>
        <v>0.164352</v>
      </c>
      <c r="K11" s="131">
        <f>I11/$I$13</f>
        <v>6.0468691224485104E-3</v>
      </c>
    </row>
    <row r="12" spans="2:11" ht="15" thickBot="1" x14ac:dyDescent="0.35"/>
    <row r="13" spans="2:11" ht="15" thickBot="1" x14ac:dyDescent="0.35">
      <c r="H13" s="5" t="s">
        <v>50</v>
      </c>
      <c r="I13" s="7">
        <f>SUM(I7:I11)</f>
        <v>1.132486888888889</v>
      </c>
      <c r="K13" s="8"/>
    </row>
    <row r="14" spans="2:11" x14ac:dyDescent="0.3">
      <c r="H14" s="2" t="s">
        <v>54</v>
      </c>
      <c r="I14" s="9">
        <f>SUM(J7:J11)</f>
        <v>27.179685333333335</v>
      </c>
    </row>
    <row r="15" spans="2:11" x14ac:dyDescent="0.3">
      <c r="H15" s="2" t="s">
        <v>58</v>
      </c>
      <c r="I15" s="10" t="s">
        <v>59</v>
      </c>
    </row>
    <row r="16" spans="2:11" x14ac:dyDescent="0.3">
      <c r="H16" s="2" t="s">
        <v>52</v>
      </c>
      <c r="I16" s="9">
        <f>I6</f>
        <v>37</v>
      </c>
    </row>
    <row r="17" spans="2:11" x14ac:dyDescent="0.3">
      <c r="H17" s="2" t="s">
        <v>55</v>
      </c>
      <c r="I17" s="9">
        <f>I16/I14</f>
        <v>1.361310829990477</v>
      </c>
    </row>
    <row r="19" spans="2:11" ht="15" thickBot="1" x14ac:dyDescent="0.35"/>
    <row r="20" spans="2:11" ht="15" thickBot="1" x14ac:dyDescent="0.35">
      <c r="B20" s="103" t="s">
        <v>2</v>
      </c>
      <c r="C20" s="104"/>
      <c r="D20" s="104"/>
      <c r="E20" s="104"/>
      <c r="F20" s="104"/>
      <c r="G20" s="104"/>
      <c r="H20" s="104"/>
      <c r="I20" s="104"/>
      <c r="J20" s="104"/>
      <c r="K20" s="105"/>
    </row>
    <row r="21" spans="2:11" ht="15" thickBot="1" x14ac:dyDescent="0.35">
      <c r="B21" s="112" t="s">
        <v>22</v>
      </c>
      <c r="C21" s="112" t="s">
        <v>15</v>
      </c>
      <c r="D21" s="112" t="s">
        <v>31</v>
      </c>
      <c r="E21" s="112" t="s">
        <v>32</v>
      </c>
      <c r="F21" s="112" t="s">
        <v>33</v>
      </c>
      <c r="G21" s="112" t="s">
        <v>6</v>
      </c>
      <c r="H21" s="112" t="s">
        <v>1</v>
      </c>
      <c r="I21" s="112" t="s">
        <v>48</v>
      </c>
      <c r="J21" s="112" t="s">
        <v>49</v>
      </c>
      <c r="K21" s="113" t="s">
        <v>63</v>
      </c>
    </row>
    <row r="22" spans="2:11" x14ac:dyDescent="0.3">
      <c r="B22" s="114" t="s">
        <v>21</v>
      </c>
      <c r="C22" s="115" t="s">
        <v>61</v>
      </c>
      <c r="D22" s="116">
        <v>5</v>
      </c>
      <c r="E22" s="117">
        <v>0.1</v>
      </c>
      <c r="F22" s="118">
        <f>D22*E22</f>
        <v>0.5</v>
      </c>
      <c r="G22" s="119" t="s">
        <v>25</v>
      </c>
      <c r="H22" s="120" t="s">
        <v>26</v>
      </c>
      <c r="I22" s="121">
        <f>1*F22</f>
        <v>0.5</v>
      </c>
      <c r="J22" s="130">
        <f>F22*8</f>
        <v>4</v>
      </c>
      <c r="K22" s="125" t="s">
        <v>4</v>
      </c>
    </row>
    <row r="23" spans="2:11" x14ac:dyDescent="0.3">
      <c r="B23" s="81" t="s">
        <v>35</v>
      </c>
      <c r="C23" s="82" t="s">
        <v>62</v>
      </c>
      <c r="D23" s="87">
        <v>3.2</v>
      </c>
      <c r="E23" s="88">
        <v>1</v>
      </c>
      <c r="F23" s="85">
        <f>D23*E23</f>
        <v>3.2</v>
      </c>
      <c r="G23" s="82" t="s">
        <v>23</v>
      </c>
      <c r="H23" s="86" t="s">
        <v>36</v>
      </c>
      <c r="I23" s="122">
        <f>1*F23</f>
        <v>3.2</v>
      </c>
      <c r="J23" s="122">
        <v>3.2</v>
      </c>
      <c r="K23" s="126" t="s">
        <v>4</v>
      </c>
    </row>
    <row r="24" spans="2:11" x14ac:dyDescent="0.3">
      <c r="B24" s="58" t="s">
        <v>45</v>
      </c>
      <c r="C24" s="12" t="s">
        <v>60</v>
      </c>
      <c r="D24" s="13">
        <v>5</v>
      </c>
      <c r="E24" s="14">
        <v>0.1</v>
      </c>
      <c r="F24" s="15">
        <f>(E24^2)*0.4</f>
        <v>4.000000000000001E-3</v>
      </c>
      <c r="G24" s="11" t="s">
        <v>23</v>
      </c>
      <c r="H24" s="16" t="s">
        <v>56</v>
      </c>
      <c r="I24" s="123">
        <f>1*F24</f>
        <v>4.000000000000001E-3</v>
      </c>
      <c r="J24" s="123">
        <f>F24*8</f>
        <v>3.2000000000000008E-2</v>
      </c>
      <c r="K24" s="127">
        <f>I24/$I$32</f>
        <v>0.2255710497968883</v>
      </c>
    </row>
    <row r="25" spans="2:11" x14ac:dyDescent="0.3">
      <c r="B25" s="58" t="s">
        <v>45</v>
      </c>
      <c r="C25" s="12" t="s">
        <v>57</v>
      </c>
      <c r="D25" s="13">
        <v>3.2</v>
      </c>
      <c r="E25" s="14">
        <f>MAX(E24,E26,E27,E28,E29,E30)</f>
        <v>0.23</v>
      </c>
      <c r="F25" s="15">
        <f>(E25^2)*0.14</f>
        <v>7.4060000000000011E-3</v>
      </c>
      <c r="G25" s="11" t="s">
        <v>23</v>
      </c>
      <c r="H25" s="16" t="s">
        <v>51</v>
      </c>
      <c r="I25" s="123">
        <f>1*F25</f>
        <v>7.4060000000000011E-3</v>
      </c>
      <c r="J25" s="123">
        <f>F25*24</f>
        <v>0.17774400000000001</v>
      </c>
      <c r="K25" s="127">
        <f>I25/$I$32</f>
        <v>0.41764479869893867</v>
      </c>
    </row>
    <row r="26" spans="2:11" x14ac:dyDescent="0.3">
      <c r="B26" s="32" t="s">
        <v>67</v>
      </c>
      <c r="C26" s="17" t="s">
        <v>16</v>
      </c>
      <c r="D26" s="18">
        <v>5</v>
      </c>
      <c r="E26" s="14">
        <v>0.23</v>
      </c>
      <c r="F26" s="19">
        <f>D26*E26</f>
        <v>1.1500000000000001</v>
      </c>
      <c r="G26" s="17" t="s">
        <v>23</v>
      </c>
      <c r="H26" s="20" t="s">
        <v>64</v>
      </c>
      <c r="I26" s="123">
        <f>(4/3600)*F26</f>
        <v>1.2777777777777779E-3</v>
      </c>
      <c r="J26" s="123">
        <f>I26*24</f>
        <v>3.0666666666666668E-2</v>
      </c>
      <c r="K26" s="127">
        <f>I26/$I$32</f>
        <v>7.2057418685117086E-2</v>
      </c>
    </row>
    <row r="27" spans="2:11" x14ac:dyDescent="0.3">
      <c r="B27" s="32" t="s">
        <v>67</v>
      </c>
      <c r="C27" s="22" t="s">
        <v>17</v>
      </c>
      <c r="D27" s="13">
        <v>5</v>
      </c>
      <c r="E27" s="14">
        <v>0.09</v>
      </c>
      <c r="F27" s="19">
        <f>D27*E27</f>
        <v>0.44999999999999996</v>
      </c>
      <c r="G27" s="23" t="s">
        <v>23</v>
      </c>
      <c r="H27" s="24" t="s">
        <v>65</v>
      </c>
      <c r="I27" s="123">
        <f>(40/3600)*F27</f>
        <v>5.0000000000000001E-3</v>
      </c>
      <c r="J27" s="123">
        <f>I27*24</f>
        <v>0.12</v>
      </c>
      <c r="K27" s="127">
        <f>I27/$I$32</f>
        <v>0.28196381224611033</v>
      </c>
    </row>
    <row r="28" spans="2:11" x14ac:dyDescent="0.3">
      <c r="B28" s="32" t="s">
        <v>67</v>
      </c>
      <c r="C28" s="12" t="s">
        <v>19</v>
      </c>
      <c r="D28" s="13">
        <v>3.3</v>
      </c>
      <c r="E28" s="25">
        <v>1.5E-5</v>
      </c>
      <c r="F28" s="26">
        <f>D28*E28</f>
        <v>4.9499999999999997E-5</v>
      </c>
      <c r="G28" s="27" t="s">
        <v>23</v>
      </c>
      <c r="H28" s="24" t="s">
        <v>66</v>
      </c>
      <c r="I28" s="123">
        <f>(3560/3600)*F28</f>
        <v>4.8949999999999997E-5</v>
      </c>
      <c r="J28" s="123">
        <f t="shared" ref="J28:J30" si="2">I28*24</f>
        <v>1.1747999999999999E-3</v>
      </c>
      <c r="K28" s="127">
        <f>I28/$I$32</f>
        <v>2.7604257218894197E-3</v>
      </c>
    </row>
    <row r="29" spans="2:11" x14ac:dyDescent="0.3">
      <c r="B29" s="58" t="s">
        <v>34</v>
      </c>
      <c r="C29" s="11" t="s">
        <v>37</v>
      </c>
      <c r="D29" s="13">
        <v>3.3</v>
      </c>
      <c r="E29" s="25">
        <v>1.5E-5</v>
      </c>
      <c r="F29" s="26">
        <f>D29*E29</f>
        <v>4.9499999999999997E-5</v>
      </c>
      <c r="G29" s="11" t="s">
        <v>23</v>
      </c>
      <c r="H29" s="28" t="s">
        <v>40</v>
      </c>
      <c r="I29" s="123">
        <f>(0.0175/3600)*F29</f>
        <v>2.4062499999999998E-10</v>
      </c>
      <c r="J29" s="123">
        <f t="shared" si="2"/>
        <v>5.7749999999999996E-9</v>
      </c>
      <c r="K29" s="128">
        <f>I29/$I$32</f>
        <v>1.3569508464344058E-8</v>
      </c>
    </row>
    <row r="30" spans="2:11" ht="15" thickBot="1" x14ac:dyDescent="0.35">
      <c r="B30" s="51" t="s">
        <v>34</v>
      </c>
      <c r="C30" s="56" t="s">
        <v>38</v>
      </c>
      <c r="D30" s="53">
        <v>3.3</v>
      </c>
      <c r="E30" s="59">
        <v>6.0000000000000002E-6</v>
      </c>
      <c r="F30" s="60">
        <f>D30*E30</f>
        <v>1.98E-5</v>
      </c>
      <c r="G30" s="56" t="s">
        <v>23</v>
      </c>
      <c r="H30" s="61" t="s">
        <v>40</v>
      </c>
      <c r="I30" s="124">
        <f>(8/3600)*F30</f>
        <v>4.4000000000000004E-8</v>
      </c>
      <c r="J30" s="124">
        <f t="shared" si="2"/>
        <v>1.0560000000000001E-6</v>
      </c>
      <c r="K30" s="129">
        <f>I30/$I$32</f>
        <v>2.4812815477657711E-6</v>
      </c>
    </row>
    <row r="31" spans="2:11" ht="15" thickBot="1" x14ac:dyDescent="0.35"/>
    <row r="32" spans="2:11" ht="15" thickBot="1" x14ac:dyDescent="0.35">
      <c r="H32" s="5" t="s">
        <v>50</v>
      </c>
      <c r="I32" s="6">
        <f>SUM(I24:I30)</f>
        <v>1.773277201840278E-2</v>
      </c>
    </row>
    <row r="33" spans="2:9" x14ac:dyDescent="0.3">
      <c r="H33" s="2" t="s">
        <v>54</v>
      </c>
      <c r="I33" s="9">
        <f>SUM(I24:I30)*24</f>
        <v>0.42558652844166672</v>
      </c>
    </row>
    <row r="34" spans="2:9" x14ac:dyDescent="0.3">
      <c r="H34" s="2" t="s">
        <v>53</v>
      </c>
      <c r="I34" s="9">
        <v>4</v>
      </c>
    </row>
    <row r="35" spans="2:9" x14ac:dyDescent="0.3">
      <c r="H35" s="2" t="s">
        <v>52</v>
      </c>
      <c r="I35" s="9">
        <v>3.2</v>
      </c>
    </row>
    <row r="36" spans="2:9" x14ac:dyDescent="0.3">
      <c r="H36" s="2" t="s">
        <v>55</v>
      </c>
      <c r="I36" s="9">
        <f>I35/I33</f>
        <v>7.5190349932296083</v>
      </c>
    </row>
    <row r="39" spans="2:9" ht="15" thickBot="1" x14ac:dyDescent="0.35"/>
    <row r="40" spans="2:9" x14ac:dyDescent="0.3">
      <c r="B40" s="109" t="s">
        <v>7</v>
      </c>
      <c r="C40" s="110"/>
      <c r="D40" s="110"/>
      <c r="E40" s="110"/>
      <c r="F40" s="110"/>
      <c r="G40" s="110"/>
      <c r="H40" s="111"/>
    </row>
    <row r="41" spans="2:9" ht="15" thickBot="1" x14ac:dyDescent="0.35">
      <c r="B41" s="75" t="s">
        <v>22</v>
      </c>
      <c r="C41" s="76" t="s">
        <v>15</v>
      </c>
      <c r="D41" s="76" t="s">
        <v>31</v>
      </c>
      <c r="E41" s="76" t="s">
        <v>32</v>
      </c>
      <c r="F41" s="76" t="s">
        <v>33</v>
      </c>
      <c r="G41" s="76" t="s">
        <v>6</v>
      </c>
      <c r="H41" s="77" t="s">
        <v>1</v>
      </c>
    </row>
    <row r="42" spans="2:9" x14ac:dyDescent="0.3">
      <c r="B42" s="66" t="s">
        <v>10</v>
      </c>
      <c r="C42" s="67"/>
      <c r="D42" s="68">
        <v>5</v>
      </c>
      <c r="E42" s="69">
        <v>2.1</v>
      </c>
      <c r="F42" s="67">
        <f>D42*E42</f>
        <v>10.5</v>
      </c>
      <c r="G42" s="67" t="s">
        <v>24</v>
      </c>
      <c r="H42" s="78" t="s">
        <v>27</v>
      </c>
    </row>
    <row r="43" spans="2:9" ht="15" thickBot="1" x14ac:dyDescent="0.35">
      <c r="B43" s="72" t="s">
        <v>21</v>
      </c>
      <c r="C43" s="74"/>
      <c r="D43" s="73">
        <v>5</v>
      </c>
      <c r="E43" s="79">
        <v>0.1</v>
      </c>
      <c r="F43" s="74">
        <f>D43*E43</f>
        <v>0.5</v>
      </c>
      <c r="G43" s="74" t="s">
        <v>25</v>
      </c>
      <c r="H43" s="80" t="s">
        <v>26</v>
      </c>
    </row>
    <row r="44" spans="2:9" x14ac:dyDescent="0.3">
      <c r="B44" s="106" t="s">
        <v>11</v>
      </c>
      <c r="C44" s="107"/>
      <c r="D44" s="107"/>
      <c r="E44" s="107"/>
      <c r="F44" s="107"/>
      <c r="G44" s="107"/>
      <c r="H44" s="108"/>
    </row>
    <row r="45" spans="2:9" ht="15" thickBot="1" x14ac:dyDescent="0.35">
      <c r="B45" s="89" t="s">
        <v>22</v>
      </c>
      <c r="C45" s="90" t="s">
        <v>15</v>
      </c>
      <c r="D45" s="90" t="s">
        <v>8</v>
      </c>
      <c r="E45" s="90" t="s">
        <v>20</v>
      </c>
      <c r="F45" s="90" t="s">
        <v>30</v>
      </c>
      <c r="G45" s="90" t="s">
        <v>6</v>
      </c>
      <c r="H45" s="91" t="s">
        <v>1</v>
      </c>
    </row>
    <row r="46" spans="2:9" x14ac:dyDescent="0.3">
      <c r="B46" s="92" t="s">
        <v>12</v>
      </c>
      <c r="C46" s="93"/>
      <c r="D46" s="94">
        <v>3.2</v>
      </c>
      <c r="E46" s="84">
        <v>0.85</v>
      </c>
      <c r="F46" s="85">
        <f>D46*E46</f>
        <v>2.72</v>
      </c>
      <c r="G46" s="93" t="s">
        <v>24</v>
      </c>
      <c r="H46" s="95" t="s">
        <v>28</v>
      </c>
    </row>
    <row r="47" spans="2:9" x14ac:dyDescent="0.3">
      <c r="B47" s="96" t="s">
        <v>13</v>
      </c>
      <c r="C47" s="97"/>
      <c r="D47" s="87">
        <v>3.7</v>
      </c>
      <c r="E47" s="88">
        <v>10</v>
      </c>
      <c r="F47" s="85">
        <f>D47*E47</f>
        <v>37</v>
      </c>
      <c r="G47" s="97" t="s">
        <v>24</v>
      </c>
      <c r="H47" s="98" t="s">
        <v>29</v>
      </c>
    </row>
    <row r="48" spans="2:9" ht="15" thickBot="1" x14ac:dyDescent="0.35">
      <c r="B48" s="96" t="s">
        <v>35</v>
      </c>
      <c r="C48" s="97"/>
      <c r="D48" s="87">
        <v>3.2</v>
      </c>
      <c r="E48" s="88">
        <v>1</v>
      </c>
      <c r="F48" s="99">
        <f>D48*E48</f>
        <v>3.2</v>
      </c>
      <c r="G48" s="97" t="s">
        <v>23</v>
      </c>
      <c r="H48" s="98" t="s">
        <v>36</v>
      </c>
    </row>
    <row r="49" spans="2:8" x14ac:dyDescent="0.3">
      <c r="B49" s="100" t="s">
        <v>14</v>
      </c>
      <c r="C49" s="101"/>
      <c r="D49" s="101"/>
      <c r="E49" s="101"/>
      <c r="F49" s="101"/>
      <c r="G49" s="101"/>
      <c r="H49" s="102"/>
    </row>
    <row r="50" spans="2:8" ht="15" thickBot="1" x14ac:dyDescent="0.35">
      <c r="B50" s="29" t="s">
        <v>22</v>
      </c>
      <c r="C50" s="30" t="s">
        <v>15</v>
      </c>
      <c r="D50" s="30" t="s">
        <v>8</v>
      </c>
      <c r="E50" s="30" t="s">
        <v>9</v>
      </c>
      <c r="F50" s="30" t="s">
        <v>33</v>
      </c>
      <c r="G50" s="30" t="s">
        <v>6</v>
      </c>
      <c r="H50" s="31" t="s">
        <v>1</v>
      </c>
    </row>
    <row r="51" spans="2:8" x14ac:dyDescent="0.3">
      <c r="B51" s="32" t="s">
        <v>67</v>
      </c>
      <c r="C51" s="17" t="s">
        <v>16</v>
      </c>
      <c r="D51" s="33">
        <v>5</v>
      </c>
      <c r="E51" s="34">
        <v>0.23</v>
      </c>
      <c r="F51" s="35">
        <f t="shared" ref="F51:F60" si="3">D51*E51</f>
        <v>1.1500000000000001</v>
      </c>
      <c r="G51" s="17" t="s">
        <v>23</v>
      </c>
      <c r="H51" s="36"/>
    </row>
    <row r="52" spans="2:8" x14ac:dyDescent="0.3">
      <c r="B52" s="32" t="s">
        <v>67</v>
      </c>
      <c r="C52" s="22" t="s">
        <v>17</v>
      </c>
      <c r="D52" s="13">
        <v>5</v>
      </c>
      <c r="E52" s="37">
        <v>0.09</v>
      </c>
      <c r="F52" s="19">
        <f t="shared" si="3"/>
        <v>0.44999999999999996</v>
      </c>
      <c r="G52" s="23" t="s">
        <v>23</v>
      </c>
      <c r="H52" s="38"/>
    </row>
    <row r="53" spans="2:8" x14ac:dyDescent="0.3">
      <c r="B53" s="32" t="s">
        <v>67</v>
      </c>
      <c r="C53" s="12" t="s">
        <v>18</v>
      </c>
      <c r="D53" s="13">
        <v>5</v>
      </c>
      <c r="E53" s="14">
        <v>0.115</v>
      </c>
      <c r="F53" s="19">
        <f t="shared" si="3"/>
        <v>0.57500000000000007</v>
      </c>
      <c r="G53" s="21" t="s">
        <v>23</v>
      </c>
      <c r="H53" s="39"/>
    </row>
    <row r="54" spans="2:8" x14ac:dyDescent="0.3">
      <c r="B54" s="32" t="s">
        <v>67</v>
      </c>
      <c r="C54" s="12" t="s">
        <v>19</v>
      </c>
      <c r="D54" s="13">
        <v>5</v>
      </c>
      <c r="E54" s="14">
        <v>2E-3</v>
      </c>
      <c r="F54" s="19">
        <f t="shared" si="3"/>
        <v>0.01</v>
      </c>
      <c r="G54" s="21" t="s">
        <v>23</v>
      </c>
      <c r="H54" s="39"/>
    </row>
    <row r="55" spans="2:8" x14ac:dyDescent="0.3">
      <c r="B55" s="32" t="s">
        <v>67</v>
      </c>
      <c r="C55" s="12" t="s">
        <v>19</v>
      </c>
      <c r="D55" s="13">
        <v>3.3</v>
      </c>
      <c r="E55" s="25">
        <v>1.5E-5</v>
      </c>
      <c r="F55" s="26">
        <f t="shared" si="3"/>
        <v>4.9499999999999997E-5</v>
      </c>
      <c r="G55" s="27" t="s">
        <v>23</v>
      </c>
      <c r="H55" s="38"/>
    </row>
    <row r="56" spans="2:8" x14ac:dyDescent="0.3">
      <c r="B56" s="40" t="s">
        <v>34</v>
      </c>
      <c r="C56" s="12" t="s">
        <v>37</v>
      </c>
      <c r="D56" s="13">
        <v>3.3</v>
      </c>
      <c r="E56" s="25">
        <v>1.5E-5</v>
      </c>
      <c r="F56" s="26">
        <f t="shared" si="3"/>
        <v>4.9499999999999997E-5</v>
      </c>
      <c r="G56" s="12" t="s">
        <v>23</v>
      </c>
      <c r="H56" s="41" t="s">
        <v>40</v>
      </c>
    </row>
    <row r="57" spans="2:8" x14ac:dyDescent="0.3">
      <c r="B57" s="40" t="s">
        <v>34</v>
      </c>
      <c r="C57" s="12" t="s">
        <v>38</v>
      </c>
      <c r="D57" s="13">
        <v>3.3</v>
      </c>
      <c r="E57" s="25">
        <v>6.0000000000000002E-6</v>
      </c>
      <c r="F57" s="26">
        <f t="shared" si="3"/>
        <v>1.98E-5</v>
      </c>
      <c r="G57" s="12" t="s">
        <v>23</v>
      </c>
      <c r="H57" s="41" t="s">
        <v>40</v>
      </c>
    </row>
    <row r="58" spans="2:8" x14ac:dyDescent="0.3">
      <c r="B58" s="42" t="s">
        <v>5</v>
      </c>
      <c r="C58" s="43" t="s">
        <v>41</v>
      </c>
      <c r="D58" s="44">
        <v>3</v>
      </c>
      <c r="E58" s="45">
        <f>0.0001+0.0005</f>
        <v>6.0000000000000006E-4</v>
      </c>
      <c r="F58" s="46">
        <f t="shared" si="3"/>
        <v>1.8000000000000002E-3</v>
      </c>
      <c r="G58" s="43" t="s">
        <v>23</v>
      </c>
      <c r="H58" s="47" t="s">
        <v>39</v>
      </c>
    </row>
    <row r="59" spans="2:8" x14ac:dyDescent="0.3">
      <c r="B59" s="40" t="s">
        <v>5</v>
      </c>
      <c r="C59" s="12" t="s">
        <v>19</v>
      </c>
      <c r="D59" s="13">
        <v>3</v>
      </c>
      <c r="E59" s="48">
        <f>0.000000095+0.0000001</f>
        <v>1.9499999999999999E-7</v>
      </c>
      <c r="F59" s="49">
        <f t="shared" si="3"/>
        <v>5.849999999999999E-7</v>
      </c>
      <c r="G59" s="12" t="s">
        <v>23</v>
      </c>
      <c r="H59" s="41" t="s">
        <v>39</v>
      </c>
    </row>
    <row r="60" spans="2:8" x14ac:dyDescent="0.3">
      <c r="B60" s="40" t="s">
        <v>42</v>
      </c>
      <c r="C60" s="12" t="s">
        <v>43</v>
      </c>
      <c r="D60" s="13">
        <v>3.2</v>
      </c>
      <c r="E60" s="14">
        <v>0.192</v>
      </c>
      <c r="F60" s="15">
        <f t="shared" si="3"/>
        <v>0.61440000000000006</v>
      </c>
      <c r="G60" s="12" t="s">
        <v>25</v>
      </c>
      <c r="H60" s="41" t="s">
        <v>44</v>
      </c>
    </row>
    <row r="61" spans="2:8" x14ac:dyDescent="0.3">
      <c r="B61" s="40" t="s">
        <v>45</v>
      </c>
      <c r="C61" s="12" t="s">
        <v>46</v>
      </c>
      <c r="D61" s="13">
        <v>5</v>
      </c>
      <c r="E61" s="14">
        <v>0.1</v>
      </c>
      <c r="F61" s="15">
        <v>4.000000000000001E-3</v>
      </c>
      <c r="G61" s="11" t="s">
        <v>23</v>
      </c>
      <c r="H61" s="50" t="s">
        <v>47</v>
      </c>
    </row>
    <row r="62" spans="2:8" ht="15" thickBot="1" x14ac:dyDescent="0.35">
      <c r="B62" s="51" t="s">
        <v>45</v>
      </c>
      <c r="C62" s="52" t="s">
        <v>0</v>
      </c>
      <c r="D62" s="53">
        <v>3.2</v>
      </c>
      <c r="E62" s="54">
        <v>0.15</v>
      </c>
      <c r="F62" s="55">
        <v>3.15E-3</v>
      </c>
      <c r="G62" s="56" t="s">
        <v>23</v>
      </c>
      <c r="H62" s="57" t="s">
        <v>47</v>
      </c>
    </row>
  </sheetData>
  <mergeCells count="5">
    <mergeCell ref="B49:H49"/>
    <mergeCell ref="B3:K3"/>
    <mergeCell ref="B20:K20"/>
    <mergeCell ref="B44:H44"/>
    <mergeCell ref="B40:H40"/>
  </mergeCells>
  <phoneticPr fontId="2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Tait Russell</dc:creator>
  <cp:keywords/>
  <dc:description/>
  <cp:lastModifiedBy>Tait Russell</cp:lastModifiedBy>
  <cp:revision/>
  <dcterms:created xsi:type="dcterms:W3CDTF">2025-09-29T17:40:03Z</dcterms:created>
  <dcterms:modified xsi:type="dcterms:W3CDTF">2025-12-11T22:53:35Z</dcterms:modified>
  <cp:category/>
  <cp:contentStatus/>
</cp:coreProperties>
</file>